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0" windowWidth="15480" windowHeight="9180" activeTab="0"/>
  </bookViews>
  <sheets>
    <sheet name="FootPrint" sheetId="1" r:id="rId1"/>
    <sheet name="Progress" sheetId="2" r:id="rId2"/>
  </sheets>
  <definedNames/>
  <calcPr fullCalcOnLoad="1" iterate="1" iterateCount="1" iterateDelta="0.001"/>
</workbook>
</file>

<file path=xl/comments1.xml><?xml version="1.0" encoding="utf-8"?>
<comments xmlns="http://schemas.openxmlformats.org/spreadsheetml/2006/main">
  <authors>
    <author>Bill</author>
  </authors>
  <commentList>
    <comment ref="P8" authorId="0">
      <text>
        <r>
          <rPr>
            <b/>
            <sz val="10"/>
            <rFont val="Tahoma"/>
            <family val="2"/>
          </rPr>
          <t>Each kWh generates 1.1 lbs of CO2 emission -  PSE uses 57% fossil-based fuels. Every kWh we save will fully offset almost one pound of CO2 emissions emitted from fossils-based fuels</t>
        </r>
      </text>
    </comment>
    <comment ref="P10" authorId="0">
      <text>
        <r>
          <rPr>
            <b/>
            <sz val="10"/>
            <rFont val="Tahoma"/>
            <family val="2"/>
          </rPr>
          <t>12.669 lbs of CO2 per gallon of Propane</t>
        </r>
      </text>
    </comment>
    <comment ref="P12" authorId="0">
      <text>
        <r>
          <rPr>
            <b/>
            <sz val="10"/>
            <rFont val="Tahoma"/>
            <family val="2"/>
          </rPr>
          <t>1 gallon equals 5.91 pounds of CO2.</t>
        </r>
      </text>
    </comment>
    <comment ref="P14" authorId="0">
      <text>
        <r>
          <rPr>
            <b/>
            <sz val="10"/>
            <rFont val="Tahoma"/>
            <family val="2"/>
          </rPr>
          <t>Burning wood emits carbon dioxide, approximately 1.2 Tons for every seasoned cord (20% H2O content) burned.   However, as a biofuel, wood contains "biogenic" carbon. Under international greenhouse gas accounting methods developed by the Intergovernmental Panel on Climate Change (IPCC), biogenic carbon is part of the natural carbon balance and it will not add to atmospheric concentrations of carbon dioxide. Therefore you may wish to use an emission factor of zero for wood, wood waste, and other biomass fuels in which the carbon is entirely biogenic. Still, there are other considerations that complicate the issue. For one, due to CO2 absorption rates, replacing the tree one for one does not equate to zeroing out the carbon emitted when a tree is burnt.</t>
        </r>
      </text>
    </comment>
    <comment ref="P17" authorId="0">
      <text>
        <r>
          <rPr>
            <b/>
            <sz val="10"/>
            <rFont val="Tahoma"/>
            <family val="2"/>
          </rPr>
          <t>Each gallon of gasoline equals 19.564 lbs of CO2 emissions for gasoline or 22.384 lbs for diesel.</t>
        </r>
      </text>
    </comment>
    <comment ref="P18" authorId="0">
      <text>
        <r>
          <rPr>
            <b/>
            <sz val="10"/>
            <rFont val="Tahoma"/>
            <family val="2"/>
          </rPr>
          <t>Each gallon of gasoline equals 19.564 lbs of CO2 emissions for gasoline or 22.384 lbs for diesel.</t>
        </r>
      </text>
    </comment>
    <comment ref="P21" authorId="0">
      <text>
        <r>
          <rPr>
            <b/>
            <sz val="10"/>
            <rFont val="Tahoma"/>
            <family val="2"/>
          </rPr>
          <t>Each airline passenger mile contributes 0.968 pounds of Carbon Dioxide emissions.</t>
        </r>
      </text>
    </comment>
    <comment ref="P26" authorId="0">
      <text>
        <r>
          <rPr>
            <b/>
            <sz val="10"/>
            <rFont val="Tahoma"/>
            <family val="2"/>
          </rPr>
          <t>This is an estimated total of the above energy costs including electricity, heating, car and airplane transportation.</t>
        </r>
      </text>
    </comment>
  </commentList>
</comments>
</file>

<file path=xl/comments2.xml><?xml version="1.0" encoding="utf-8"?>
<comments xmlns="http://schemas.openxmlformats.org/spreadsheetml/2006/main">
  <authors>
    <author>Bill</author>
  </authors>
  <commentList>
    <comment ref="F6" authorId="0">
      <text>
        <r>
          <rPr>
            <sz val="8"/>
            <rFont val="Tahoma"/>
            <family val="0"/>
          </rPr>
          <t>Based on 5 hour savings per day per one 6ow bulb replaced
81.3 lbs of CO2 per year
$7.38 of electricity per year</t>
        </r>
      </text>
    </comment>
    <comment ref="F8" authorId="0">
      <text>
        <r>
          <rPr>
            <b/>
            <sz val="8"/>
            <rFont val="Tahoma"/>
            <family val="0"/>
          </rPr>
          <t xml:space="preserve">My Clothes Dryer is a 5300 watt dryer - my average load takes 30 minutes to dry - that's 2.65 kWh per load
If all clothes drying is done this way, there is an average of one load per person per week.
</t>
        </r>
      </text>
    </comment>
    <comment ref="F10" authorId="0">
      <text>
        <r>
          <rPr>
            <b/>
            <sz val="8"/>
            <rFont val="Tahoma"/>
            <family val="0"/>
          </rPr>
          <t xml:space="preserve">Assuming two short trips per week are saved - and cars are most inefficient when cold and on short trips - therefore only 15 mpg
</t>
        </r>
      </text>
    </comment>
    <comment ref="F13" authorId="0">
      <text>
        <r>
          <rPr>
            <b/>
            <sz val="8"/>
            <rFont val="Tahoma"/>
            <family val="0"/>
          </rPr>
          <t xml:space="preserve">Assuming one 20 mile roundtrip per week - for 52 weeks - at 20 mpg - this saves 1 gallon of gas per week
</t>
        </r>
      </text>
    </comment>
    <comment ref="F17" authorId="0">
      <text>
        <r>
          <rPr>
            <b/>
            <sz val="8"/>
            <rFont val="Tahoma"/>
            <family val="0"/>
          </rPr>
          <t xml:space="preserve">Assumes average 90 watts per computer and in use for 8 hours each day - therefore off for the other 16 hours
</t>
        </r>
      </text>
    </comment>
    <comment ref="F19" authorId="0">
      <text>
        <r>
          <rPr>
            <b/>
            <sz val="8"/>
            <rFont val="Tahoma"/>
            <family val="0"/>
          </rPr>
          <t>Assumes 150 watts per TV and left on for 8 hours a day</t>
        </r>
      </text>
    </comment>
    <comment ref="F22" authorId="0">
      <text>
        <r>
          <rPr>
            <b/>
            <sz val="8"/>
            <rFont val="Tahoma"/>
            <family val="0"/>
          </rPr>
          <t xml:space="preserve">Assumes the average transformer is consuming 15watts when not in use
</t>
        </r>
      </text>
    </comment>
    <comment ref="F25" authorId="0">
      <text>
        <r>
          <rPr>
            <b/>
            <sz val="8"/>
            <rFont val="Tahoma"/>
            <family val="0"/>
          </rPr>
          <t>Assuming your average shower was 8 minutes long and now its 3 minutes - you saved at least 10 gallons of hot water
One gallon of water weighs 8.337 lb.
One BTU is required to raise the temperature of one pound of water one degree F.  From 50 deg. to 120 deg. is a 70 deg. change.  8.337 lb of water x 70 deg. F. change requires 583.59 BTU.
One kwh = 3413 BTU.  583.59 BTU required/3413 BTU per kwh = .171 kwh per gallon from 50 deg. to 120 deg.
Divide this by the efficiency of your water heater.(How well is it insulated?) Assume 70%</t>
        </r>
      </text>
    </comment>
  </commentList>
</comments>
</file>

<file path=xl/sharedStrings.xml><?xml version="1.0" encoding="utf-8"?>
<sst xmlns="http://schemas.openxmlformats.org/spreadsheetml/2006/main" count="129" uniqueCount="87">
  <si>
    <t>Car #1</t>
  </si>
  <si>
    <t>Annual Mileage</t>
  </si>
  <si>
    <t>Car #2</t>
  </si>
  <si>
    <t>CO² Emissions</t>
  </si>
  <si>
    <t>kg per lb</t>
  </si>
  <si>
    <t>kg</t>
  </si>
  <si>
    <t>lb</t>
  </si>
  <si>
    <t>Natural Gas Conversions</t>
  </si>
  <si>
    <t>Oil at $2.50 per gallon and one gallon = 5.908 lbs of CO2</t>
  </si>
  <si>
    <t>Heating Oil</t>
  </si>
  <si>
    <t>500 miles = 319.67 lbs of CO2</t>
  </si>
  <si>
    <t>1000 miles = 639.34 lbs of CO2</t>
  </si>
  <si>
    <t>1500 miles = 959.01 lbs of CO2</t>
  </si>
  <si>
    <t>each mile = .639 lbs of CO2</t>
  </si>
  <si>
    <t xml:space="preserve">CO2 to Carbon Conversion </t>
  </si>
  <si>
    <t>1 pound of wood = 1.035 lbs of CO2</t>
  </si>
  <si>
    <t xml:space="preserve"> </t>
  </si>
  <si>
    <t>Number of People in Household</t>
  </si>
  <si>
    <t>Total Mileage</t>
  </si>
  <si>
    <t>For the Household</t>
  </si>
  <si>
    <t>Airlines</t>
  </si>
  <si>
    <t>Enter Average Monthly Bill</t>
  </si>
  <si>
    <t>Tons</t>
  </si>
  <si>
    <t>→</t>
  </si>
  <si>
    <t>i</t>
  </si>
  <si>
    <t>"mouse over to see info on calculation"</t>
  </si>
  <si>
    <t>$</t>
  </si>
  <si>
    <t>Household</t>
  </si>
  <si>
    <t>Individual</t>
  </si>
  <si>
    <t>Annual CO² Emissions</t>
  </si>
  <si>
    <t>Annual Energy Cost</t>
  </si>
  <si>
    <t>Wood -  Enter # of Cords / Yr</t>
  </si>
  <si>
    <t>#</t>
  </si>
  <si>
    <t>CF</t>
  </si>
  <si>
    <t>Household Name</t>
  </si>
  <si>
    <t>Total Avg</t>
  </si>
  <si>
    <t>Diesel? Y/N:</t>
  </si>
  <si>
    <t>Automobile (MPG)</t>
  </si>
  <si>
    <r>
      <t xml:space="preserve">Enter Information in </t>
    </r>
    <r>
      <rPr>
        <b/>
        <sz val="14"/>
        <color indexed="53"/>
        <rFont val="Arial"/>
        <family val="2"/>
      </rPr>
      <t>Orange</t>
    </r>
    <r>
      <rPr>
        <b/>
        <sz val="14"/>
        <rFont val="Arial"/>
        <family val="2"/>
      </rPr>
      <t xml:space="preserve"> Boxes</t>
    </r>
  </si>
  <si>
    <t>Y</t>
  </si>
  <si>
    <r>
      <t>Your Yearly CO</t>
    </r>
    <r>
      <rPr>
        <b/>
        <vertAlign val="subscript"/>
        <sz val="26"/>
        <rFont val="Arial"/>
        <family val="2"/>
      </rPr>
      <t>²</t>
    </r>
    <r>
      <rPr>
        <b/>
        <sz val="22"/>
        <rFont val="Arial"/>
        <family val="2"/>
      </rPr>
      <t xml:space="preserve"> Emissions</t>
    </r>
  </si>
  <si>
    <t>1 cord of hardwood (128 cubic feet) = 3,737 pounds (1.869 Ton)</t>
  </si>
  <si>
    <t>Number of Household Residents =</t>
  </si>
  <si>
    <t>Annual Savings</t>
  </si>
  <si>
    <t>Energy Saving Idea</t>
  </si>
  <si>
    <t>How Much?</t>
  </si>
  <si>
    <t>Qty</t>
  </si>
  <si>
    <t>$ Saved per Year</t>
  </si>
  <si>
    <t>Pounds CO2 saved per year</t>
  </si>
  <si>
    <t>How many Incandscent Bulbs have you replaced with CFL's?</t>
  </si>
  <si>
    <t>Number of Replacements =</t>
  </si>
  <si>
    <t>Do you regularly use an outside clothesline?</t>
  </si>
  <si>
    <t xml:space="preserve">Yes or No </t>
  </si>
  <si>
    <t xml:space="preserve">Do you walk or bicycle for short trips? </t>
  </si>
  <si>
    <t>(less than 2 miles roundtrip)</t>
  </si>
  <si>
    <t>Can you carpool for at least on trip a week?</t>
  </si>
  <si>
    <t xml:space="preserve"> (assume average round trip of 20 miles)</t>
  </si>
  <si>
    <t>Do you turn off your computer when not in use during the day?</t>
  </si>
  <si>
    <t>Number of Computers</t>
  </si>
  <si>
    <t>Do you turn off your TV when not in use during the day?</t>
  </si>
  <si>
    <t>How many things have transformers left constantly plugged in?</t>
  </si>
  <si>
    <t>Number of Transformer Loads</t>
  </si>
  <si>
    <t>Can you find a way to turn them off?</t>
  </si>
  <si>
    <t>Hot Water usage (to be defined)</t>
  </si>
  <si>
    <t>Showers, etc…</t>
  </si>
  <si>
    <t>TBD</t>
  </si>
  <si>
    <t xml:space="preserve">Take a submarine shower (soap up &amp; rinse off) </t>
  </si>
  <si>
    <t>Total Savings Per Year</t>
  </si>
  <si>
    <t>Pounds</t>
  </si>
  <si>
    <t>Bonus Points</t>
  </si>
  <si>
    <t>Be a catalyst for change</t>
  </si>
  <si>
    <t>Neighborhoods, schools, workplaces</t>
  </si>
  <si>
    <t xml:space="preserve">Smart erergy consumer </t>
  </si>
  <si>
    <t>Support your churchs and institutions</t>
  </si>
  <si>
    <t>Lower your heat just a few degrees</t>
  </si>
  <si>
    <t>Offset Emissions - Buy PSE Green Power</t>
  </si>
  <si>
    <t>Get Around Less</t>
  </si>
  <si>
    <t>Recycle</t>
  </si>
  <si>
    <t>Buy things That last</t>
  </si>
  <si>
    <t>Compost</t>
  </si>
  <si>
    <t>Eat Less Meat - lower on the food chain</t>
  </si>
  <si>
    <t>Buy Local</t>
  </si>
  <si>
    <t>Electric ($.09 / kWh)</t>
  </si>
  <si>
    <t>Propane ($3.20 / Gallon)</t>
  </si>
  <si>
    <t>Oil ($3.20 / Gallon)</t>
  </si>
  <si>
    <t>n</t>
  </si>
  <si>
    <t>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</si>
</sst>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
    <numFmt numFmtId="173" formatCode="0.0000000000"/>
    <numFmt numFmtId="174" formatCode="0.000000000"/>
    <numFmt numFmtId="175" formatCode="0.00000000"/>
    <numFmt numFmtId="176" formatCode="0.0000000"/>
    <numFmt numFmtId="177" formatCode="0.000000"/>
    <numFmt numFmtId="178" formatCode="0.00000"/>
    <numFmt numFmtId="179" formatCode="_(* #,##0.000_);_(* \(#,##0.000\);_(* &quot;-&quot;??_);_(@_)"/>
    <numFmt numFmtId="180" formatCode="_(* #,##0.0_);_(* \(#,##0.0\);_(* &quot;-&quot;?_);_(@_)"/>
    <numFmt numFmtId="181" formatCode="#,##0.0_);\(#,##0.0\)"/>
    <numFmt numFmtId="182" formatCode="_(&quot;$&quot;* #,##0.0_);_(&quot;$&quot;* \(#,##0.0\);_(&quot;$&quot;* &quot;-&quot;??_);_(@_)"/>
    <numFmt numFmtId="183" formatCode="_(&quot;$&quot;* #,##0_);_(&quot;$&quot;* \(#,##0\);_(&quot;$&quot;* &quot;-&quot;??_);_(@_)"/>
    <numFmt numFmtId="184" formatCode="&quot;$&quot;#,##0.00"/>
  </numFmts>
  <fonts count="22">
    <font>
      <sz val="10"/>
      <name val="Arial"/>
      <family val="0"/>
    </font>
    <font>
      <b/>
      <sz val="12"/>
      <name val="Arial"/>
      <family val="2"/>
    </font>
    <font>
      <sz val="8"/>
      <name val="Arial"/>
      <family val="0"/>
    </font>
    <font>
      <b/>
      <sz val="12"/>
      <name val="Arial Unicode MS"/>
      <family val="2"/>
    </font>
    <font>
      <u val="single"/>
      <sz val="10"/>
      <color indexed="12"/>
      <name val="Arial"/>
      <family val="0"/>
    </font>
    <font>
      <u val="single"/>
      <sz val="10"/>
      <color indexed="36"/>
      <name val="Arial"/>
      <family val="0"/>
    </font>
    <font>
      <b/>
      <sz val="11"/>
      <name val="Arial"/>
      <family val="2"/>
    </font>
    <font>
      <b/>
      <sz val="14"/>
      <name val="Arial"/>
      <family val="2"/>
    </font>
    <font>
      <b/>
      <sz val="22"/>
      <name val="Arial"/>
      <family val="2"/>
    </font>
    <font>
      <b/>
      <sz val="10"/>
      <name val="Tahoma"/>
      <family val="2"/>
    </font>
    <font>
      <sz val="14"/>
      <color indexed="12"/>
      <name val="Rockwell Extra Bold"/>
      <family val="1"/>
    </font>
    <font>
      <b/>
      <sz val="12"/>
      <color indexed="12"/>
      <name val="Arial"/>
      <family val="2"/>
    </font>
    <font>
      <sz val="12"/>
      <color indexed="12"/>
      <name val="Arial"/>
      <family val="2"/>
    </font>
    <font>
      <b/>
      <sz val="18"/>
      <color indexed="8"/>
      <name val="Arial"/>
      <family val="2"/>
    </font>
    <font>
      <b/>
      <sz val="14"/>
      <color indexed="8"/>
      <name val="Arial"/>
      <family val="2"/>
    </font>
    <font>
      <b/>
      <sz val="12"/>
      <color indexed="10"/>
      <name val="Arial"/>
      <family val="2"/>
    </font>
    <font>
      <b/>
      <sz val="14"/>
      <color indexed="53"/>
      <name val="Arial"/>
      <family val="2"/>
    </font>
    <font>
      <b/>
      <vertAlign val="subscript"/>
      <sz val="26"/>
      <name val="Arial"/>
      <family val="2"/>
    </font>
    <font>
      <b/>
      <sz val="10"/>
      <name val="Arial"/>
      <family val="2"/>
    </font>
    <font>
      <sz val="8"/>
      <name val="Tahoma"/>
      <family val="0"/>
    </font>
    <font>
      <b/>
      <sz val="8"/>
      <name val="Tahoma"/>
      <family val="0"/>
    </font>
    <font>
      <b/>
      <sz val="8"/>
      <name val="Arial"/>
      <family val="2"/>
    </font>
  </fonts>
  <fills count="6">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43"/>
        <bgColor indexed="64"/>
      </patternFill>
    </fill>
    <fill>
      <patternFill patternType="solid">
        <fgColor indexed="52"/>
        <bgColor indexed="64"/>
      </patternFill>
    </fill>
  </fills>
  <borders count="18">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2" borderId="0" xfId="0" applyFont="1" applyFill="1" applyBorder="1" applyAlignment="1">
      <alignment/>
    </xf>
    <xf numFmtId="0" fontId="1" fillId="3" borderId="1" xfId="0" applyFont="1" applyFill="1" applyBorder="1" applyAlignment="1">
      <alignment/>
    </xf>
    <xf numFmtId="0" fontId="1" fillId="3" borderId="2" xfId="0" applyFont="1" applyFill="1" applyBorder="1" applyAlignment="1">
      <alignment/>
    </xf>
    <xf numFmtId="0" fontId="1" fillId="3" borderId="3" xfId="0" applyFont="1" applyFill="1" applyBorder="1" applyAlignment="1">
      <alignment/>
    </xf>
    <xf numFmtId="0" fontId="1" fillId="0" borderId="0" xfId="0" applyFont="1" applyAlignment="1">
      <alignment/>
    </xf>
    <xf numFmtId="0" fontId="1" fillId="3" borderId="4"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3" borderId="5"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0" xfId="0" applyFont="1" applyFill="1" applyBorder="1" applyAlignment="1">
      <alignment horizontal="center"/>
    </xf>
    <xf numFmtId="0" fontId="1" fillId="0" borderId="0" xfId="0" applyFont="1" applyAlignment="1">
      <alignment horizontal="center"/>
    </xf>
    <xf numFmtId="0" fontId="3" fillId="0" borderId="0" xfId="0" applyFont="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1" fillId="3" borderId="0" xfId="0" applyFont="1" applyFill="1" applyBorder="1" applyAlignment="1">
      <alignment/>
    </xf>
    <xf numFmtId="0" fontId="1" fillId="2" borderId="0" xfId="0" applyFont="1" applyFill="1" applyBorder="1" applyAlignment="1">
      <alignment horizontal="left"/>
    </xf>
    <xf numFmtId="0" fontId="6" fillId="2" borderId="5" xfId="0" applyFont="1" applyFill="1" applyBorder="1" applyAlignment="1">
      <alignment horizontal="center" vertical="top" wrapText="1"/>
    </xf>
    <xf numFmtId="0" fontId="8" fillId="2" borderId="0" xfId="0" applyFont="1" applyFill="1" applyBorder="1" applyAlignment="1">
      <alignment horizontal="center" vertical="center"/>
    </xf>
    <xf numFmtId="166" fontId="1" fillId="2" borderId="0" xfId="0" applyNumberFormat="1" applyFont="1" applyFill="1" applyBorder="1" applyAlignment="1">
      <alignment/>
    </xf>
    <xf numFmtId="166" fontId="1" fillId="2" borderId="0" xfId="17" applyNumberFormat="1" applyFont="1" applyFill="1" applyBorder="1" applyAlignment="1">
      <alignment/>
    </xf>
    <xf numFmtId="166" fontId="1" fillId="4" borderId="9" xfId="0" applyNumberFormat="1" applyFont="1" applyFill="1" applyBorder="1" applyAlignment="1">
      <alignment/>
    </xf>
    <xf numFmtId="166" fontId="1" fillId="2" borderId="0" xfId="0" applyNumberFormat="1" applyFont="1" applyFill="1" applyBorder="1" applyAlignment="1">
      <alignment horizontal="center"/>
    </xf>
    <xf numFmtId="166" fontId="1" fillId="4" borderId="9" xfId="15" applyNumberFormat="1" applyFont="1" applyFill="1" applyBorder="1" applyAlignment="1">
      <alignment/>
    </xf>
    <xf numFmtId="0" fontId="1" fillId="3" borderId="2" xfId="0" applyFont="1" applyFill="1" applyBorder="1" applyAlignment="1">
      <alignment horizontal="center"/>
    </xf>
    <xf numFmtId="0" fontId="1" fillId="3" borderId="0" xfId="0" applyFont="1" applyFill="1" applyBorder="1" applyAlignment="1">
      <alignment horizontal="center"/>
    </xf>
    <xf numFmtId="0" fontId="1" fillId="2" borderId="0" xfId="0" applyFont="1" applyFill="1" applyAlignment="1">
      <alignment/>
    </xf>
    <xf numFmtId="0" fontId="7" fillId="2" borderId="0" xfId="0" applyFont="1" applyFill="1" applyBorder="1" applyAlignment="1">
      <alignment/>
    </xf>
    <xf numFmtId="44" fontId="1" fillId="2" borderId="0" xfId="17" applyFont="1" applyFill="1" applyBorder="1" applyAlignment="1">
      <alignment/>
    </xf>
    <xf numFmtId="43" fontId="7" fillId="2" borderId="0" xfId="15" applyFont="1" applyFill="1" applyBorder="1" applyAlignment="1">
      <alignment horizontal="right"/>
    </xf>
    <xf numFmtId="44" fontId="1" fillId="3" borderId="2" xfId="17" applyFont="1" applyFill="1" applyBorder="1" applyAlignment="1">
      <alignment horizontal="center"/>
    </xf>
    <xf numFmtId="44" fontId="7" fillId="2" borderId="0" xfId="17" applyFont="1" applyFill="1" applyBorder="1" applyAlignment="1">
      <alignment/>
    </xf>
    <xf numFmtId="44" fontId="1" fillId="2" borderId="0" xfId="17" applyFont="1" applyFill="1" applyBorder="1" applyAlignment="1">
      <alignment horizontal="center"/>
    </xf>
    <xf numFmtId="44" fontId="1" fillId="2" borderId="0" xfId="17" applyFont="1" applyFill="1" applyBorder="1" applyAlignment="1">
      <alignment horizontal="left"/>
    </xf>
    <xf numFmtId="44" fontId="1" fillId="2" borderId="7" xfId="17" applyFont="1" applyFill="1" applyBorder="1" applyAlignment="1">
      <alignment/>
    </xf>
    <xf numFmtId="44" fontId="1" fillId="3" borderId="0" xfId="17" applyFont="1" applyFill="1" applyBorder="1" applyAlignment="1">
      <alignment horizontal="center"/>
    </xf>
    <xf numFmtId="44" fontId="1" fillId="0" borderId="0" xfId="17" applyFont="1" applyAlignment="1">
      <alignment horizontal="center"/>
    </xf>
    <xf numFmtId="0" fontId="1" fillId="2" borderId="0" xfId="0" applyFont="1" applyFill="1" applyBorder="1" applyAlignment="1">
      <alignment horizontal="right"/>
    </xf>
    <xf numFmtId="0" fontId="11" fillId="2" borderId="10" xfId="0" applyFont="1" applyFill="1" applyBorder="1" applyAlignment="1">
      <alignment/>
    </xf>
    <xf numFmtId="0" fontId="11" fillId="2" borderId="11" xfId="0" applyFont="1" applyFill="1" applyBorder="1" applyAlignment="1">
      <alignment/>
    </xf>
    <xf numFmtId="0" fontId="10" fillId="2" borderId="0" xfId="0" applyFont="1" applyFill="1" applyBorder="1" applyAlignment="1">
      <alignment horizontal="center"/>
    </xf>
    <xf numFmtId="0" fontId="12" fillId="2" borderId="0" xfId="0" applyFont="1" applyFill="1" applyBorder="1" applyAlignment="1">
      <alignment/>
    </xf>
    <xf numFmtId="0" fontId="12" fillId="2" borderId="0" xfId="0" applyFont="1" applyFill="1" applyBorder="1" applyAlignment="1">
      <alignment horizontal="center"/>
    </xf>
    <xf numFmtId="0" fontId="1" fillId="2" borderId="0" xfId="0" applyFont="1" applyFill="1" applyBorder="1" applyAlignment="1">
      <alignment/>
    </xf>
    <xf numFmtId="0" fontId="10" fillId="2" borderId="12" xfId="0" applyFont="1" applyFill="1" applyBorder="1" applyAlignment="1">
      <alignment horizontal="center"/>
    </xf>
    <xf numFmtId="0" fontId="15" fillId="0" borderId="0" xfId="0" applyFont="1" applyAlignment="1">
      <alignment horizontal="center"/>
    </xf>
    <xf numFmtId="0" fontId="1" fillId="3" borderId="7" xfId="0" applyFont="1" applyFill="1" applyBorder="1" applyAlignment="1">
      <alignment horizontal="center"/>
    </xf>
    <xf numFmtId="44" fontId="1" fillId="3" borderId="7" xfId="17" applyFont="1" applyFill="1" applyBorder="1" applyAlignment="1">
      <alignment horizontal="center"/>
    </xf>
    <xf numFmtId="0" fontId="1" fillId="5" borderId="9" xfId="0" applyFont="1" applyFill="1" applyBorder="1" applyAlignment="1" applyProtection="1">
      <alignment horizontal="center"/>
      <protection locked="0"/>
    </xf>
    <xf numFmtId="39" fontId="1" fillId="5" borderId="9" xfId="17" applyNumberFormat="1" applyFont="1" applyFill="1" applyBorder="1" applyAlignment="1" applyProtection="1">
      <alignment/>
      <protection locked="0"/>
    </xf>
    <xf numFmtId="181" fontId="1" fillId="5" borderId="9" xfId="17" applyNumberFormat="1" applyFont="1" applyFill="1" applyBorder="1" applyAlignment="1" applyProtection="1">
      <alignment/>
      <protection locked="0"/>
    </xf>
    <xf numFmtId="0" fontId="1" fillId="5" borderId="9" xfId="0" applyFont="1" applyFill="1" applyBorder="1" applyAlignment="1" applyProtection="1">
      <alignment/>
      <protection locked="0"/>
    </xf>
    <xf numFmtId="0" fontId="1" fillId="5" borderId="9" xfId="0" applyFont="1" applyFill="1" applyBorder="1" applyAlignment="1" applyProtection="1">
      <alignment horizontal="right"/>
      <protection locked="0"/>
    </xf>
    <xf numFmtId="184" fontId="1" fillId="4" borderId="9" xfId="17" applyNumberFormat="1" applyFont="1" applyFill="1" applyBorder="1" applyAlignment="1">
      <alignment/>
    </xf>
    <xf numFmtId="0" fontId="18" fillId="0" borderId="0" xfId="0" applyFont="1" applyAlignment="1">
      <alignment horizontal="right"/>
    </xf>
    <xf numFmtId="0" fontId="18" fillId="0" borderId="0" xfId="0" applyFont="1" applyAlignment="1">
      <alignment horizontal="center"/>
    </xf>
    <xf numFmtId="44" fontId="0" fillId="0" borderId="0" xfId="17" applyAlignment="1">
      <alignment horizontal="center"/>
    </xf>
    <xf numFmtId="0" fontId="0" fillId="0" borderId="0" xfId="0" applyAlignment="1">
      <alignment horizontal="center"/>
    </xf>
    <xf numFmtId="0" fontId="0" fillId="0" borderId="0" xfId="0" applyAlignment="1">
      <alignment horizontal="right"/>
    </xf>
    <xf numFmtId="0" fontId="18" fillId="0" borderId="0" xfId="0" applyFont="1" applyAlignment="1">
      <alignment/>
    </xf>
    <xf numFmtId="0" fontId="18" fillId="0" borderId="13" xfId="0" applyFont="1" applyBorder="1" applyAlignment="1">
      <alignment/>
    </xf>
    <xf numFmtId="0" fontId="18" fillId="0" borderId="13" xfId="0" applyFont="1" applyBorder="1" applyAlignment="1">
      <alignment horizontal="right"/>
    </xf>
    <xf numFmtId="0" fontId="18" fillId="0" borderId="1" xfId="0" applyFont="1" applyBorder="1" applyAlignment="1">
      <alignment horizontal="center"/>
    </xf>
    <xf numFmtId="0" fontId="18" fillId="0" borderId="3" xfId="0" applyFont="1" applyBorder="1" applyAlignment="1">
      <alignment/>
    </xf>
    <xf numFmtId="0" fontId="18" fillId="0" borderId="0" xfId="0" applyFont="1" applyAlignment="1">
      <alignment horizontal="center" vertical="top" wrapText="1"/>
    </xf>
    <xf numFmtId="0" fontId="18" fillId="0" borderId="14" xfId="0" applyFont="1" applyBorder="1" applyAlignment="1">
      <alignment horizontal="center" vertical="center" wrapText="1"/>
    </xf>
    <xf numFmtId="0" fontId="18" fillId="0" borderId="6" xfId="0" applyFont="1" applyBorder="1" applyAlignment="1">
      <alignment horizontal="center" vertical="top" wrapText="1"/>
    </xf>
    <xf numFmtId="0" fontId="18" fillId="0" borderId="8" xfId="0" applyFont="1" applyBorder="1" applyAlignment="1">
      <alignment horizontal="center" vertical="top" wrapText="1"/>
    </xf>
    <xf numFmtId="44" fontId="18" fillId="0" borderId="6" xfId="17" applyFont="1" applyBorder="1" applyAlignment="1">
      <alignment horizontal="center" vertical="top" wrapText="1"/>
    </xf>
    <xf numFmtId="1" fontId="0" fillId="0" borderId="0" xfId="0" applyNumberFormat="1" applyAlignment="1">
      <alignment horizontal="center"/>
    </xf>
    <xf numFmtId="44" fontId="0" fillId="0" borderId="0" xfId="17" applyFont="1" applyAlignment="1">
      <alignment horizontal="center"/>
    </xf>
    <xf numFmtId="44" fontId="18" fillId="0" borderId="0" xfId="17" applyFont="1" applyAlignment="1">
      <alignment horizontal="center"/>
    </xf>
    <xf numFmtId="1" fontId="18" fillId="0" borderId="0" xfId="15" applyNumberFormat="1" applyFont="1" applyAlignment="1">
      <alignment horizontal="center"/>
    </xf>
    <xf numFmtId="166" fontId="18" fillId="0" borderId="0" xfId="0" applyNumberFormat="1" applyFont="1" applyAlignment="1">
      <alignment horizontal="center"/>
    </xf>
    <xf numFmtId="0" fontId="0" fillId="0" borderId="0" xfId="0" applyAlignment="1">
      <alignment horizontal="left"/>
    </xf>
    <xf numFmtId="0" fontId="8" fillId="2" borderId="2" xfId="0" applyFont="1" applyFill="1" applyBorder="1" applyAlignment="1">
      <alignment horizontal="center" vertical="center"/>
    </xf>
    <xf numFmtId="0" fontId="1" fillId="2" borderId="0" xfId="0" applyFont="1" applyFill="1" applyBorder="1" applyAlignment="1">
      <alignment horizontal="left"/>
    </xf>
    <xf numFmtId="0" fontId="7" fillId="2" borderId="0"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164" fontId="1" fillId="4" borderId="15" xfId="15" applyNumberFormat="1" applyFont="1" applyFill="1" applyBorder="1" applyAlignment="1">
      <alignment horizontal="center"/>
    </xf>
    <xf numFmtId="164" fontId="1" fillId="4" borderId="16" xfId="15" applyNumberFormat="1" applyFont="1" applyFill="1" applyBorder="1" applyAlignment="1">
      <alignment horizontal="center"/>
    </xf>
    <xf numFmtId="164" fontId="1" fillId="4" borderId="17" xfId="15" applyNumberFormat="1" applyFont="1" applyFill="1" applyBorder="1" applyAlignment="1">
      <alignment horizontal="center"/>
    </xf>
    <xf numFmtId="43" fontId="7" fillId="2" borderId="0" xfId="15" applyFont="1" applyFill="1" applyBorder="1" applyAlignment="1">
      <alignment horizontal="right"/>
    </xf>
    <xf numFmtId="0" fontId="18" fillId="0" borderId="1" xfId="0" applyFont="1" applyBorder="1" applyAlignment="1">
      <alignment horizontal="center"/>
    </xf>
    <xf numFmtId="0" fontId="18"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4</xdr:row>
      <xdr:rowOff>142875</xdr:rowOff>
    </xdr:from>
    <xdr:to>
      <xdr:col>21</xdr:col>
      <xdr:colOff>1047750</xdr:colOff>
      <xdr:row>22</xdr:row>
      <xdr:rowOff>38100</xdr:rowOff>
    </xdr:to>
    <xdr:sp>
      <xdr:nvSpPr>
        <xdr:cNvPr id="1" name="AutoShape 39"/>
        <xdr:cNvSpPr>
          <a:spLocks/>
        </xdr:cNvSpPr>
      </xdr:nvSpPr>
      <xdr:spPr>
        <a:xfrm>
          <a:off x="6886575" y="1295400"/>
          <a:ext cx="3133725" cy="3648075"/>
        </a:xfrm>
        <a:prstGeom prst="rect">
          <a:avLst/>
        </a:prstGeom>
        <a:noFill/>
        <a:ln w="9525" cmpd="sng">
          <a:noFill/>
        </a:ln>
      </xdr:spPr>
      <xdr:txBody>
        <a:bodyPr vertOverflow="clip" wrap="square" lIns="91440" tIns="45720" rIns="91440" bIns="45720"/>
        <a:p>
          <a:pPr algn="ctr">
            <a:defRPr/>
          </a:pPr>
          <a:r>
            <a:rPr lang="en-US" cap="none" sz="1800" b="1" i="0" u="none" baseline="0">
              <a:solidFill>
                <a:srgbClr val="000000"/>
              </a:solidFill>
              <a:latin typeface="Arial"/>
              <a:ea typeface="Arial"/>
              <a:cs typeface="Arial"/>
            </a:rPr>
            <a:t>United States
</a:t>
          </a:r>
          <a:r>
            <a:rPr lang="en-US" cap="none" sz="1400" b="1" i="0" u="none" baseline="0">
              <a:solidFill>
                <a:srgbClr val="000000"/>
              </a:solidFill>
              <a:latin typeface="Arial"/>
              <a:ea typeface="Arial"/>
              <a:cs typeface="Arial"/>
            </a:rPr>
            <a:t>US uses 15 times more energy 
per person than the typical developing country
United States accounts 
for 23% of energy-related 
carbon emissions worldwide 
with only 5% of the population
Kyoto Compliance target is 
5.4 tons of CO2 emissions 
per person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A51"/>
  <sheetViews>
    <sheetView tabSelected="1" zoomScale="85" zoomScaleNormal="85" workbookViewId="0" topLeftCell="A1">
      <selection activeCell="T24" sqref="T24"/>
    </sheetView>
  </sheetViews>
  <sheetFormatPr defaultColWidth="9.140625" defaultRowHeight="12.75"/>
  <cols>
    <col min="1" max="1" width="2.00390625" style="5" customWidth="1"/>
    <col min="2" max="3" width="1.7109375" style="5" customWidth="1"/>
    <col min="4" max="4" width="13.8515625" style="5" customWidth="1"/>
    <col min="5" max="5" width="7.8515625" style="5" customWidth="1"/>
    <col min="6" max="6" width="4.140625" style="5" customWidth="1"/>
    <col min="7" max="7" width="15.57421875" style="5" bestFit="1" customWidth="1"/>
    <col min="8" max="8" width="3.00390625" style="5" bestFit="1" customWidth="1"/>
    <col min="9" max="9" width="7.28125" style="5" customWidth="1"/>
    <col min="10" max="10" width="11.28125" style="5" customWidth="1"/>
    <col min="11" max="12" width="3.8515625" style="5" customWidth="1"/>
    <col min="13" max="13" width="13.57421875" style="5" customWidth="1"/>
    <col min="14" max="14" width="6.8515625" style="14" bestFit="1" customWidth="1"/>
    <col min="15" max="15" width="13.7109375" style="42" hidden="1" customWidth="1"/>
    <col min="16" max="16" width="5.28125" style="5" customWidth="1"/>
    <col min="17" max="17" width="2.7109375" style="5" customWidth="1"/>
    <col min="18" max="18" width="3.8515625" style="5" customWidth="1"/>
    <col min="19" max="19" width="10.00390625" style="5" customWidth="1"/>
    <col min="20" max="20" width="10.28125" style="5" customWidth="1"/>
    <col min="21" max="21" width="5.8515625" style="5" customWidth="1"/>
    <col min="22" max="22" width="15.8515625" style="5" customWidth="1"/>
    <col min="23" max="23" width="3.00390625" style="5" customWidth="1"/>
    <col min="24" max="24" width="6.421875" style="5" customWidth="1"/>
    <col min="25" max="25" width="15.421875" style="5" customWidth="1"/>
    <col min="26" max="26" width="21.421875" style="5" bestFit="1" customWidth="1"/>
    <col min="27" max="27" width="6.57421875" style="5" bestFit="1" customWidth="1"/>
    <col min="28" max="16384" width="9.140625" style="5" customWidth="1"/>
  </cols>
  <sheetData>
    <row r="1" spans="1:27" ht="25.5" customHeight="1" thickBot="1">
      <c r="A1" s="2"/>
      <c r="B1" s="3"/>
      <c r="C1" s="3"/>
      <c r="D1" s="3"/>
      <c r="E1" s="3"/>
      <c r="F1" s="3"/>
      <c r="G1" s="3"/>
      <c r="H1" s="3"/>
      <c r="I1" s="3"/>
      <c r="J1" s="3"/>
      <c r="K1" s="3"/>
      <c r="L1" s="3"/>
      <c r="M1" s="3"/>
      <c r="N1" s="30"/>
      <c r="O1" s="36"/>
      <c r="P1" s="3"/>
      <c r="Q1" s="3"/>
      <c r="R1" s="3"/>
      <c r="S1" s="3"/>
      <c r="T1" s="3"/>
      <c r="U1" s="3"/>
      <c r="V1" s="3"/>
      <c r="W1" s="3"/>
      <c r="X1" s="4"/>
      <c r="Y1" s="14" t="s">
        <v>35</v>
      </c>
      <c r="Z1" s="14" t="s">
        <v>34</v>
      </c>
      <c r="AA1" s="14" t="s">
        <v>33</v>
      </c>
    </row>
    <row r="2" spans="1:25" ht="30" customHeight="1">
      <c r="A2" s="6"/>
      <c r="B2" s="7"/>
      <c r="C2" s="8"/>
      <c r="D2" s="8"/>
      <c r="E2" s="81" t="s">
        <v>40</v>
      </c>
      <c r="F2" s="81"/>
      <c r="G2" s="81"/>
      <c r="H2" s="81"/>
      <c r="I2" s="81"/>
      <c r="J2" s="81"/>
      <c r="K2" s="81"/>
      <c r="L2" s="81"/>
      <c r="M2" s="81"/>
      <c r="N2" s="81"/>
      <c r="O2" s="81"/>
      <c r="P2" s="81"/>
      <c r="Q2" s="81"/>
      <c r="R2" s="81"/>
      <c r="S2" s="81"/>
      <c r="T2" s="81"/>
      <c r="U2" s="81"/>
      <c r="V2" s="8"/>
      <c r="W2" s="9"/>
      <c r="X2" s="10"/>
      <c r="Y2" s="51">
        <f>IF(AA2=0,0,ROUND(AVERAGE(AA2:AA489),2))</f>
        <v>0</v>
      </c>
    </row>
    <row r="3" spans="1:24" ht="15.75" customHeight="1">
      <c r="A3" s="6"/>
      <c r="B3" s="11"/>
      <c r="C3" s="1"/>
      <c r="D3" s="83" t="s">
        <v>38</v>
      </c>
      <c r="E3" s="83"/>
      <c r="F3" s="83"/>
      <c r="G3" s="83"/>
      <c r="H3" s="83"/>
      <c r="I3" s="83"/>
      <c r="J3" s="83"/>
      <c r="K3" s="24"/>
      <c r="L3" s="24"/>
      <c r="M3" s="24"/>
      <c r="N3" s="24"/>
      <c r="O3" s="24"/>
      <c r="P3" s="24"/>
      <c r="Q3" s="24"/>
      <c r="R3" s="24"/>
      <c r="S3" s="24"/>
      <c r="T3" s="24"/>
      <c r="U3" s="24"/>
      <c r="V3" s="24"/>
      <c r="W3" s="12"/>
      <c r="X3" s="10"/>
    </row>
    <row r="4" spans="1:24" ht="19.5" customHeight="1" thickBot="1">
      <c r="A4" s="6"/>
      <c r="B4" s="11"/>
      <c r="C4" s="1"/>
      <c r="D4" s="83"/>
      <c r="E4" s="83"/>
      <c r="F4" s="83"/>
      <c r="G4" s="83"/>
      <c r="H4" s="83"/>
      <c r="I4" s="83"/>
      <c r="J4" s="83"/>
      <c r="K4" s="13"/>
      <c r="L4" s="1"/>
      <c r="M4" s="33"/>
      <c r="N4" s="33"/>
      <c r="O4" s="33"/>
      <c r="P4" s="50" t="s">
        <v>24</v>
      </c>
      <c r="Q4" s="44" t="s">
        <v>25</v>
      </c>
      <c r="R4" s="44"/>
      <c r="S4" s="44"/>
      <c r="T4" s="44"/>
      <c r="U4" s="44"/>
      <c r="V4" s="45"/>
      <c r="W4" s="12"/>
      <c r="X4" s="10"/>
    </row>
    <row r="5" spans="1:24" ht="18.75" thickBot="1">
      <c r="A5" s="6"/>
      <c r="B5" s="11"/>
      <c r="C5" s="1"/>
      <c r="D5" s="1" t="s">
        <v>17</v>
      </c>
      <c r="E5" s="1"/>
      <c r="F5" s="1"/>
      <c r="G5" s="1"/>
      <c r="H5" s="1"/>
      <c r="I5" s="1"/>
      <c r="J5" s="54">
        <v>2</v>
      </c>
      <c r="K5" s="13"/>
      <c r="L5" s="1"/>
      <c r="M5" s="33"/>
      <c r="N5" s="33"/>
      <c r="O5" s="37"/>
      <c r="P5" s="33"/>
      <c r="Q5" s="33"/>
      <c r="R5" s="33"/>
      <c r="S5" s="33"/>
      <c r="T5" s="33"/>
      <c r="U5" s="33"/>
      <c r="V5" s="33"/>
      <c r="W5" s="12"/>
      <c r="X5" s="10"/>
    </row>
    <row r="6" spans="1:24" ht="15.75">
      <c r="A6" s="6"/>
      <c r="B6" s="11"/>
      <c r="C6" s="1"/>
      <c r="D6" s="1"/>
      <c r="E6" s="1"/>
      <c r="F6" s="1"/>
      <c r="G6" s="1"/>
      <c r="H6" s="1"/>
      <c r="I6" s="1"/>
      <c r="J6" s="1"/>
      <c r="K6" s="1"/>
      <c r="L6" s="1"/>
      <c r="M6" s="1"/>
      <c r="N6" s="13"/>
      <c r="O6" s="38"/>
      <c r="P6" s="1"/>
      <c r="Q6" s="1"/>
      <c r="R6" s="1"/>
      <c r="S6" s="1"/>
      <c r="T6" s="1"/>
      <c r="U6" s="1"/>
      <c r="V6" s="1"/>
      <c r="W6" s="12"/>
      <c r="X6" s="10"/>
    </row>
    <row r="7" spans="1:24" ht="16.5" thickBot="1">
      <c r="A7" s="6"/>
      <c r="B7" s="11"/>
      <c r="C7" s="1"/>
      <c r="D7" s="82" t="s">
        <v>21</v>
      </c>
      <c r="E7" s="82"/>
      <c r="F7" s="82"/>
      <c r="G7" s="82"/>
      <c r="H7" s="82"/>
      <c r="I7" s="82"/>
      <c r="J7" s="82"/>
      <c r="K7" s="13"/>
      <c r="L7" s="1"/>
      <c r="M7" s="13" t="s">
        <v>3</v>
      </c>
      <c r="N7" s="13"/>
      <c r="O7" s="38"/>
      <c r="P7" s="13"/>
      <c r="Q7" s="13"/>
      <c r="R7" s="13"/>
      <c r="S7" s="13"/>
      <c r="T7" s="13"/>
      <c r="U7" s="13"/>
      <c r="V7" s="13"/>
      <c r="W7" s="12"/>
      <c r="X7" s="10"/>
    </row>
    <row r="8" spans="1:24" ht="18.75" thickBot="1">
      <c r="A8" s="6"/>
      <c r="B8" s="11"/>
      <c r="C8" s="1"/>
      <c r="D8" s="1" t="s">
        <v>82</v>
      </c>
      <c r="E8" s="1"/>
      <c r="F8" s="1"/>
      <c r="G8" s="1"/>
      <c r="H8" s="1"/>
      <c r="I8" s="43" t="s">
        <v>26</v>
      </c>
      <c r="J8" s="55">
        <v>40</v>
      </c>
      <c r="K8" s="84" t="s">
        <v>23</v>
      </c>
      <c r="L8" s="85"/>
      <c r="M8" s="27">
        <f>(12*(1.1)*J8/(0.09))/2000</f>
        <v>2.9333333333333336</v>
      </c>
      <c r="N8" s="13" t="s">
        <v>22</v>
      </c>
      <c r="O8" s="38">
        <f>12*J8</f>
        <v>480</v>
      </c>
      <c r="P8" s="46" t="s">
        <v>24</v>
      </c>
      <c r="Q8" s="13"/>
      <c r="R8" s="13"/>
      <c r="S8" s="13"/>
      <c r="T8" s="13"/>
      <c r="U8" s="13"/>
      <c r="V8" s="13"/>
      <c r="W8" s="12"/>
      <c r="X8" s="10"/>
    </row>
    <row r="9" spans="1:24" ht="16.5" thickBot="1">
      <c r="A9" s="6"/>
      <c r="B9" s="11"/>
      <c r="C9" s="1"/>
      <c r="D9" s="1"/>
      <c r="E9" s="1"/>
      <c r="F9" s="1"/>
      <c r="G9" s="1"/>
      <c r="H9" s="1"/>
      <c r="I9" s="43"/>
      <c r="J9" s="1"/>
      <c r="K9" s="1"/>
      <c r="L9" s="1"/>
      <c r="M9" s="25"/>
      <c r="N9" s="13"/>
      <c r="O9" s="38"/>
      <c r="P9" s="47"/>
      <c r="Q9" s="1"/>
      <c r="R9" s="1"/>
      <c r="S9" s="13"/>
      <c r="T9" s="13"/>
      <c r="U9" s="13"/>
      <c r="V9" s="13"/>
      <c r="W9" s="12"/>
      <c r="X9" s="10"/>
    </row>
    <row r="10" spans="1:24" ht="15.75" customHeight="1" thickBot="1">
      <c r="A10" s="6"/>
      <c r="B10" s="11"/>
      <c r="C10" s="1"/>
      <c r="D10" s="1" t="s">
        <v>83</v>
      </c>
      <c r="E10" s="1"/>
      <c r="F10" s="1"/>
      <c r="G10" s="1"/>
      <c r="H10" s="1"/>
      <c r="I10" s="43" t="s">
        <v>26</v>
      </c>
      <c r="J10" s="55">
        <v>0</v>
      </c>
      <c r="K10" s="84" t="s">
        <v>23</v>
      </c>
      <c r="L10" s="85"/>
      <c r="M10" s="29">
        <f>((J10/3.2)*12.669*12)/2000</f>
        <v>0</v>
      </c>
      <c r="N10" s="13" t="s">
        <v>22</v>
      </c>
      <c r="O10" s="38">
        <f>J10*12</f>
        <v>0</v>
      </c>
      <c r="P10" s="46" t="s">
        <v>24</v>
      </c>
      <c r="Q10" s="13"/>
      <c r="R10" s="13"/>
      <c r="S10" s="13"/>
      <c r="T10" s="13"/>
      <c r="U10" s="13"/>
      <c r="V10" s="13"/>
      <c r="W10" s="12"/>
      <c r="X10" s="10"/>
    </row>
    <row r="11" spans="1:24" ht="16.5" thickBot="1">
      <c r="A11" s="6"/>
      <c r="B11" s="11"/>
      <c r="C11" s="1"/>
      <c r="D11" s="1"/>
      <c r="E11" s="1"/>
      <c r="F11" s="1"/>
      <c r="G11" s="1"/>
      <c r="H11" s="1"/>
      <c r="I11" s="43"/>
      <c r="J11" s="1"/>
      <c r="K11" s="1"/>
      <c r="L11" s="1"/>
      <c r="M11" s="25"/>
      <c r="N11" s="13"/>
      <c r="O11" s="38"/>
      <c r="P11" s="47"/>
      <c r="Q11" s="1"/>
      <c r="R11" s="1"/>
      <c r="S11" s="13"/>
      <c r="T11" s="13"/>
      <c r="U11" s="13"/>
      <c r="V11" s="13"/>
      <c r="W11" s="12"/>
      <c r="X11" s="10"/>
    </row>
    <row r="12" spans="1:24" ht="15.75" customHeight="1" thickBot="1">
      <c r="A12" s="6"/>
      <c r="B12" s="11"/>
      <c r="C12" s="1"/>
      <c r="D12" s="1" t="s">
        <v>84</v>
      </c>
      <c r="E12" s="1"/>
      <c r="F12" s="1"/>
      <c r="G12" s="1"/>
      <c r="H12" s="1"/>
      <c r="I12" s="43" t="s">
        <v>26</v>
      </c>
      <c r="J12" s="55">
        <v>0</v>
      </c>
      <c r="K12" s="84" t="s">
        <v>23</v>
      </c>
      <c r="L12" s="85"/>
      <c r="M12" s="27">
        <f>((J12/3.2)*5.908389*12)/2000</f>
        <v>0</v>
      </c>
      <c r="N12" s="13" t="s">
        <v>22</v>
      </c>
      <c r="O12" s="38">
        <f>J12*12</f>
        <v>0</v>
      </c>
      <c r="P12" s="46" t="s">
        <v>24</v>
      </c>
      <c r="Q12" s="13"/>
      <c r="R12" s="13"/>
      <c r="S12" s="13"/>
      <c r="T12" s="13"/>
      <c r="U12" s="13"/>
      <c r="V12" s="13"/>
      <c r="W12" s="12"/>
      <c r="X12" s="10"/>
    </row>
    <row r="13" spans="1:24" ht="16.5" thickBot="1">
      <c r="A13" s="6"/>
      <c r="B13" s="11"/>
      <c r="C13" s="1"/>
      <c r="D13" s="1"/>
      <c r="E13" s="1"/>
      <c r="F13" s="1"/>
      <c r="G13" s="1"/>
      <c r="H13" s="1"/>
      <c r="I13" s="1"/>
      <c r="J13" s="34"/>
      <c r="K13" s="13"/>
      <c r="L13" s="1"/>
      <c r="M13" s="26"/>
      <c r="N13" s="13"/>
      <c r="O13" s="38"/>
      <c r="P13" s="48"/>
      <c r="Q13" s="13"/>
      <c r="R13" s="13"/>
      <c r="S13" s="13"/>
      <c r="T13" s="13"/>
      <c r="U13" s="13"/>
      <c r="V13" s="13"/>
      <c r="W13" s="12"/>
      <c r="X13" s="10"/>
    </row>
    <row r="14" spans="1:24" ht="15.75" customHeight="1" thickBot="1">
      <c r="A14" s="6"/>
      <c r="B14" s="11"/>
      <c r="C14" s="1"/>
      <c r="D14" s="1" t="s">
        <v>31</v>
      </c>
      <c r="E14" s="1"/>
      <c r="F14" s="1"/>
      <c r="G14" s="1"/>
      <c r="H14" s="1"/>
      <c r="I14" s="43" t="s">
        <v>32</v>
      </c>
      <c r="J14" s="56">
        <v>2</v>
      </c>
      <c r="K14" s="84" t="s">
        <v>23</v>
      </c>
      <c r="L14" s="85"/>
      <c r="M14" s="27">
        <f>((J14)*(3738)*1.035)/2000</f>
        <v>3.86883</v>
      </c>
      <c r="N14" s="13" t="s">
        <v>22</v>
      </c>
      <c r="O14" s="38">
        <f>J14*180</f>
        <v>360</v>
      </c>
      <c r="P14" s="46" t="s">
        <v>24</v>
      </c>
      <c r="Q14" s="13"/>
      <c r="R14" s="13"/>
      <c r="S14" s="13"/>
      <c r="T14" s="13"/>
      <c r="U14" s="13"/>
      <c r="V14" s="13"/>
      <c r="W14" s="12"/>
      <c r="X14" s="10"/>
    </row>
    <row r="15" spans="1:24" ht="15.75">
      <c r="A15" s="6"/>
      <c r="B15" s="11"/>
      <c r="C15" s="1"/>
      <c r="D15" s="1"/>
      <c r="E15" s="1"/>
      <c r="F15" s="1"/>
      <c r="G15" s="1"/>
      <c r="H15" s="1"/>
      <c r="I15" s="1"/>
      <c r="J15" s="1"/>
      <c r="K15" s="1"/>
      <c r="L15" s="1"/>
      <c r="M15" s="25"/>
      <c r="N15" s="13"/>
      <c r="O15" s="38"/>
      <c r="P15" s="47"/>
      <c r="Q15" s="1"/>
      <c r="R15" s="1"/>
      <c r="S15" s="13"/>
      <c r="T15" s="13"/>
      <c r="U15" s="13"/>
      <c r="V15" s="13"/>
      <c r="W15" s="12"/>
      <c r="X15" s="10"/>
    </row>
    <row r="16" spans="1:26" ht="18" thickBot="1">
      <c r="A16" s="6"/>
      <c r="B16" s="11" t="s">
        <v>16</v>
      </c>
      <c r="C16" s="1"/>
      <c r="D16" s="82" t="s">
        <v>37</v>
      </c>
      <c r="E16" s="82"/>
      <c r="F16" s="1"/>
      <c r="G16" s="1"/>
      <c r="H16" s="1"/>
      <c r="I16" s="1"/>
      <c r="J16" s="13" t="s">
        <v>1</v>
      </c>
      <c r="K16" s="13"/>
      <c r="L16" s="1"/>
      <c r="M16" s="28" t="s">
        <v>16</v>
      </c>
      <c r="N16" s="13"/>
      <c r="O16" s="38"/>
      <c r="P16" s="47"/>
      <c r="Q16" s="1"/>
      <c r="R16" s="1"/>
      <c r="S16" s="13"/>
      <c r="T16" s="13"/>
      <c r="U16" s="13"/>
      <c r="V16" s="13"/>
      <c r="W16" s="12"/>
      <c r="X16" s="10"/>
      <c r="Z16" s="15"/>
    </row>
    <row r="17" spans="1:26" ht="15.75" customHeight="1" thickBot="1">
      <c r="A17" s="6"/>
      <c r="B17" s="11"/>
      <c r="C17" s="1"/>
      <c r="D17" s="1" t="s">
        <v>0</v>
      </c>
      <c r="E17" s="54">
        <v>20</v>
      </c>
      <c r="F17" s="1"/>
      <c r="G17" s="1" t="s">
        <v>36</v>
      </c>
      <c r="H17" s="57" t="s">
        <v>86</v>
      </c>
      <c r="I17" s="1"/>
      <c r="J17" s="57">
        <v>12000</v>
      </c>
      <c r="K17" s="84" t="s">
        <v>23</v>
      </c>
      <c r="L17" s="85"/>
      <c r="M17" s="27">
        <f>IF(H17="N",IF(E17=0,0,(19.564/2000)*(J17/E17)),IF(E17=0,0,(22.384/2000)*(J17/E17)))</f>
        <v>6.7152</v>
      </c>
      <c r="N17" s="13" t="s">
        <v>22</v>
      </c>
      <c r="O17" s="38">
        <f>IF(E17=0,0,(3.25*(J17/E17)))</f>
        <v>1950</v>
      </c>
      <c r="P17" s="46" t="s">
        <v>24</v>
      </c>
      <c r="Q17" s="13"/>
      <c r="R17" s="13"/>
      <c r="S17" s="13"/>
      <c r="T17" s="13"/>
      <c r="U17" s="13"/>
      <c r="V17" s="13"/>
      <c r="W17" s="23"/>
      <c r="X17" s="10"/>
      <c r="Z17" s="15"/>
    </row>
    <row r="18" spans="1:26" ht="15.75" customHeight="1" thickBot="1">
      <c r="A18" s="6"/>
      <c r="B18" s="11"/>
      <c r="C18" s="1"/>
      <c r="D18" s="1" t="s">
        <v>2</v>
      </c>
      <c r="E18" s="54">
        <v>20</v>
      </c>
      <c r="F18" s="1"/>
      <c r="G18" s="1" t="s">
        <v>36</v>
      </c>
      <c r="H18" s="57" t="s">
        <v>85</v>
      </c>
      <c r="I18" s="1"/>
      <c r="J18" s="57">
        <v>12000</v>
      </c>
      <c r="K18" s="84" t="s">
        <v>23</v>
      </c>
      <c r="L18" s="85"/>
      <c r="M18" s="27">
        <f>IF(H18="N",IF(E18=0,0,(19.564/2000)*(J18/E18)),IF(E18=0,0,(22.384/2000)*(J18/E18)))</f>
        <v>5.8692</v>
      </c>
      <c r="N18" s="13" t="s">
        <v>22</v>
      </c>
      <c r="O18" s="38">
        <f>IF(E18=0,0,(3.25*(J18/E18)))</f>
        <v>1950</v>
      </c>
      <c r="P18" s="46" t="s">
        <v>24</v>
      </c>
      <c r="Q18" s="13"/>
      <c r="R18" s="13"/>
      <c r="S18" s="13"/>
      <c r="T18" s="13"/>
      <c r="U18" s="13"/>
      <c r="V18" s="13"/>
      <c r="W18" s="23"/>
      <c r="X18" s="10"/>
      <c r="Z18" s="15"/>
    </row>
    <row r="19" spans="1:24" ht="15.75">
      <c r="A19" s="6"/>
      <c r="B19" s="11"/>
      <c r="C19" s="1"/>
      <c r="D19" s="1"/>
      <c r="E19" s="1"/>
      <c r="F19" s="1"/>
      <c r="G19" s="1"/>
      <c r="H19" s="1"/>
      <c r="I19" s="1"/>
      <c r="J19" s="1"/>
      <c r="K19" s="1"/>
      <c r="L19" s="1"/>
      <c r="M19" s="25"/>
      <c r="N19" s="13"/>
      <c r="O19" s="38"/>
      <c r="P19" s="47"/>
      <c r="Q19" s="1"/>
      <c r="R19" s="1"/>
      <c r="S19" s="13"/>
      <c r="T19" s="13"/>
      <c r="U19" s="13"/>
      <c r="V19" s="13"/>
      <c r="W19" s="12"/>
      <c r="X19" s="10"/>
    </row>
    <row r="20" spans="1:24" ht="16.5" thickBot="1">
      <c r="A20" s="6"/>
      <c r="B20" s="11"/>
      <c r="C20" s="1"/>
      <c r="D20" s="1" t="s">
        <v>20</v>
      </c>
      <c r="E20" s="1"/>
      <c r="F20" s="1"/>
      <c r="G20" s="1"/>
      <c r="H20" s="1"/>
      <c r="I20" s="1"/>
      <c r="J20" s="13" t="s">
        <v>18</v>
      </c>
      <c r="K20" s="13"/>
      <c r="L20" s="1"/>
      <c r="M20" s="28" t="s">
        <v>16</v>
      </c>
      <c r="N20" s="13"/>
      <c r="O20" s="38"/>
      <c r="P20" s="47"/>
      <c r="Q20" s="1"/>
      <c r="R20" s="1"/>
      <c r="S20" s="13"/>
      <c r="T20" s="13"/>
      <c r="U20" s="13"/>
      <c r="V20" s="13"/>
      <c r="W20" s="12"/>
      <c r="X20" s="10"/>
    </row>
    <row r="21" spans="1:24" ht="15.75" customHeight="1" thickBot="1">
      <c r="A21" s="6"/>
      <c r="B21" s="11"/>
      <c r="C21" s="1"/>
      <c r="D21" s="1" t="s">
        <v>19</v>
      </c>
      <c r="E21" s="1"/>
      <c r="F21" s="1"/>
      <c r="G21" s="1"/>
      <c r="H21" s="1"/>
      <c r="I21" s="1"/>
      <c r="J21" s="58">
        <v>12000</v>
      </c>
      <c r="K21" s="84" t="s">
        <v>23</v>
      </c>
      <c r="L21" s="85"/>
      <c r="M21" s="27">
        <f>J21*0.968/2000</f>
        <v>5.808</v>
      </c>
      <c r="N21" s="13" t="s">
        <v>22</v>
      </c>
      <c r="O21" s="38">
        <f>0.52*J21</f>
        <v>6240</v>
      </c>
      <c r="P21" s="46" t="s">
        <v>24</v>
      </c>
      <c r="Q21" s="13"/>
      <c r="R21" s="13"/>
      <c r="S21" s="13"/>
      <c r="T21" s="13"/>
      <c r="U21" s="13"/>
      <c r="V21" s="13"/>
      <c r="W21" s="23"/>
      <c r="X21" s="10"/>
    </row>
    <row r="22" spans="1:24" ht="15.75">
      <c r="A22" s="6"/>
      <c r="B22" s="11"/>
      <c r="C22" s="1"/>
      <c r="D22" s="1"/>
      <c r="E22" s="1"/>
      <c r="F22" s="1"/>
      <c r="G22" s="1"/>
      <c r="H22" s="1"/>
      <c r="I22" s="1"/>
      <c r="J22" s="1"/>
      <c r="K22" s="1"/>
      <c r="L22" s="1"/>
      <c r="M22" s="25"/>
      <c r="N22" s="13"/>
      <c r="O22" s="38"/>
      <c r="P22" s="1"/>
      <c r="Q22" s="1"/>
      <c r="R22" s="1"/>
      <c r="S22" s="1"/>
      <c r="T22" s="1"/>
      <c r="U22" s="1"/>
      <c r="V22" s="1"/>
      <c r="W22" s="23"/>
      <c r="X22" s="10"/>
    </row>
    <row r="23" spans="1:24" ht="16.5" thickBot="1">
      <c r="A23" s="6"/>
      <c r="B23" s="11"/>
      <c r="C23" s="1"/>
      <c r="D23" s="1"/>
      <c r="E23" s="1"/>
      <c r="F23" s="1"/>
      <c r="G23" s="1"/>
      <c r="H23" s="1"/>
      <c r="I23" s="1"/>
      <c r="J23" s="1"/>
      <c r="K23" s="1"/>
      <c r="L23" s="1"/>
      <c r="M23" s="49" t="s">
        <v>27</v>
      </c>
      <c r="N23" s="49"/>
      <c r="O23" s="49"/>
      <c r="P23" s="22" t="s">
        <v>28</v>
      </c>
      <c r="Q23" s="13"/>
      <c r="R23" s="13"/>
      <c r="S23" s="1"/>
      <c r="T23" s="1"/>
      <c r="U23" s="13"/>
      <c r="V23" s="13"/>
      <c r="W23" s="12"/>
      <c r="X23" s="10"/>
    </row>
    <row r="24" spans="1:24" ht="21" customHeight="1" thickBot="1">
      <c r="A24" s="6"/>
      <c r="B24" s="11"/>
      <c r="C24" s="1"/>
      <c r="D24" s="89" t="s">
        <v>29</v>
      </c>
      <c r="E24" s="89"/>
      <c r="F24" s="89"/>
      <c r="G24" s="89"/>
      <c r="H24" s="89"/>
      <c r="I24" s="89"/>
      <c r="J24" s="89"/>
      <c r="K24" s="89"/>
      <c r="L24" s="1"/>
      <c r="M24" s="29">
        <f>(SUM(M8:M22))</f>
        <v>25.194563333333335</v>
      </c>
      <c r="N24" s="22" t="s">
        <v>22</v>
      </c>
      <c r="O24" s="39"/>
      <c r="P24" s="86">
        <f>M24/J5</f>
        <v>12.597281666666667</v>
      </c>
      <c r="Q24" s="87"/>
      <c r="R24" s="88"/>
      <c r="S24" s="1" t="s">
        <v>22</v>
      </c>
      <c r="T24" s="32"/>
      <c r="U24" s="32"/>
      <c r="V24" s="32"/>
      <c r="W24" s="12"/>
      <c r="X24" s="10"/>
    </row>
    <row r="25" spans="1:24" ht="21" customHeight="1" thickBot="1">
      <c r="A25" s="6"/>
      <c r="B25" s="11"/>
      <c r="C25" s="1"/>
      <c r="D25" s="35"/>
      <c r="E25" s="35"/>
      <c r="F25" s="35"/>
      <c r="G25" s="35"/>
      <c r="H25" s="35"/>
      <c r="I25" s="35"/>
      <c r="J25" s="35"/>
      <c r="K25" s="35"/>
      <c r="L25" s="35"/>
      <c r="M25" s="35"/>
      <c r="N25" s="22"/>
      <c r="O25" s="39"/>
      <c r="P25" s="1"/>
      <c r="Q25" s="1"/>
      <c r="R25" s="1"/>
      <c r="S25" s="1"/>
      <c r="T25" s="1"/>
      <c r="U25" s="32"/>
      <c r="V25" s="32"/>
      <c r="W25" s="12"/>
      <c r="X25" s="10"/>
    </row>
    <row r="26" spans="1:24" ht="18.75" thickBot="1">
      <c r="A26" s="6"/>
      <c r="B26" s="11"/>
      <c r="C26" s="1"/>
      <c r="D26" s="89" t="s">
        <v>30</v>
      </c>
      <c r="E26" s="89"/>
      <c r="F26" s="89"/>
      <c r="G26" s="89"/>
      <c r="H26" s="89"/>
      <c r="I26" s="89"/>
      <c r="J26" s="89"/>
      <c r="K26" s="89"/>
      <c r="L26" s="43"/>
      <c r="M26" s="59">
        <f>(SUM(O8:O21))</f>
        <v>10980</v>
      </c>
      <c r="N26" s="22"/>
      <c r="O26" s="39"/>
      <c r="P26" s="46" t="s">
        <v>24</v>
      </c>
      <c r="Q26" s="1"/>
      <c r="R26" s="1"/>
      <c r="S26" s="1"/>
      <c r="T26" s="1"/>
      <c r="U26" s="1"/>
      <c r="V26" s="1"/>
      <c r="W26" s="12"/>
      <c r="X26" s="10"/>
    </row>
    <row r="27" spans="1:24" ht="18">
      <c r="A27" s="6"/>
      <c r="B27" s="11"/>
      <c r="C27" s="1"/>
      <c r="D27" s="35"/>
      <c r="E27" s="35"/>
      <c r="F27" s="35"/>
      <c r="G27" s="35"/>
      <c r="H27" s="35"/>
      <c r="I27" s="35"/>
      <c r="J27" s="35"/>
      <c r="K27" s="35"/>
      <c r="L27" s="35"/>
      <c r="M27" s="35"/>
      <c r="N27" s="22"/>
      <c r="O27" s="39"/>
      <c r="P27" s="1"/>
      <c r="Q27" s="1"/>
      <c r="R27" s="1"/>
      <c r="S27" s="1"/>
      <c r="T27" s="1"/>
      <c r="U27" s="1"/>
      <c r="V27" s="1"/>
      <c r="W27" s="12"/>
      <c r="X27" s="10"/>
    </row>
    <row r="28" spans="1:24" ht="20.25" customHeight="1" thickBot="1">
      <c r="A28" s="6"/>
      <c r="B28" s="16"/>
      <c r="C28" s="17"/>
      <c r="D28" s="17"/>
      <c r="E28" s="17"/>
      <c r="F28" s="17"/>
      <c r="G28" s="17"/>
      <c r="H28" s="17"/>
      <c r="I28" s="17"/>
      <c r="J28" s="17"/>
      <c r="K28" s="17"/>
      <c r="L28" s="17"/>
      <c r="M28" s="17"/>
      <c r="N28" s="17"/>
      <c r="O28" s="40"/>
      <c r="P28" s="17"/>
      <c r="Q28" s="17"/>
      <c r="R28" s="17"/>
      <c r="S28" s="17"/>
      <c r="T28" s="17"/>
      <c r="U28" s="17"/>
      <c r="V28" s="17"/>
      <c r="W28" s="18"/>
      <c r="X28" s="10"/>
    </row>
    <row r="29" spans="1:24" ht="15.75">
      <c r="A29" s="6"/>
      <c r="B29" s="21"/>
      <c r="C29" s="21"/>
      <c r="D29" s="21"/>
      <c r="E29" s="21"/>
      <c r="F29" s="21"/>
      <c r="G29" s="21"/>
      <c r="H29" s="21"/>
      <c r="I29" s="21"/>
      <c r="J29" s="21"/>
      <c r="K29" s="21"/>
      <c r="L29" s="21"/>
      <c r="M29" s="21"/>
      <c r="N29" s="31"/>
      <c r="O29" s="41"/>
      <c r="P29" s="21"/>
      <c r="Q29" s="21"/>
      <c r="R29" s="21"/>
      <c r="S29" s="21"/>
      <c r="T29" s="21"/>
      <c r="U29" s="21"/>
      <c r="V29" s="21"/>
      <c r="W29" s="21"/>
      <c r="X29" s="10"/>
    </row>
    <row r="30" spans="1:24" ht="16.5" thickBot="1">
      <c r="A30" s="19"/>
      <c r="B30" s="19"/>
      <c r="C30" s="19"/>
      <c r="D30" s="19"/>
      <c r="E30" s="19"/>
      <c r="F30" s="19"/>
      <c r="G30" s="19"/>
      <c r="H30" s="19"/>
      <c r="I30" s="19"/>
      <c r="J30" s="19"/>
      <c r="K30" s="19"/>
      <c r="L30" s="19"/>
      <c r="M30" s="19"/>
      <c r="N30" s="52"/>
      <c r="O30" s="53"/>
      <c r="P30" s="19"/>
      <c r="Q30" s="19"/>
      <c r="R30" s="19"/>
      <c r="S30" s="19"/>
      <c r="T30" s="19"/>
      <c r="U30" s="19"/>
      <c r="V30" s="19"/>
      <c r="W30" s="19"/>
      <c r="X30" s="20"/>
    </row>
    <row r="33" ht="15.75">
      <c r="J33" s="5" t="s">
        <v>7</v>
      </c>
    </row>
    <row r="34" ht="15.75">
      <c r="J34" s="5" t="s">
        <v>9</v>
      </c>
    </row>
    <row r="35" ht="15.75">
      <c r="J35" s="5" t="s">
        <v>8</v>
      </c>
    </row>
    <row r="37" ht="15.75">
      <c r="J37" s="5" t="s">
        <v>10</v>
      </c>
    </row>
    <row r="38" ht="15.75">
      <c r="J38" s="5" t="s">
        <v>11</v>
      </c>
    </row>
    <row r="39" ht="15.75">
      <c r="J39" s="5" t="s">
        <v>12</v>
      </c>
    </row>
    <row r="40" ht="15.75">
      <c r="J40" s="5" t="s">
        <v>13</v>
      </c>
    </row>
    <row r="41" spans="10:13" ht="15.75">
      <c r="J41" s="5">
        <f>M41/L43</f>
        <v>0.4535923703803783</v>
      </c>
      <c r="M41" s="5">
        <v>1</v>
      </c>
    </row>
    <row r="42" spans="10:13" ht="15.75">
      <c r="J42" s="14" t="s">
        <v>5</v>
      </c>
      <c r="K42" s="14"/>
      <c r="L42" s="14" t="s">
        <v>4</v>
      </c>
      <c r="M42" s="14" t="s">
        <v>6</v>
      </c>
    </row>
    <row r="43" spans="10:13" ht="15.75">
      <c r="J43" s="5">
        <v>0.453592</v>
      </c>
      <c r="L43" s="5">
        <v>2.20462262</v>
      </c>
      <c r="M43" s="5">
        <f>L43*J43</f>
        <v>0.9999991834510399</v>
      </c>
    </row>
    <row r="44" ht="15.75">
      <c r="M44" s="5">
        <f>M43*3</f>
        <v>2.9999975503531195</v>
      </c>
    </row>
    <row r="46" spans="10:13" ht="15.75">
      <c r="J46" s="5">
        <v>3.78541</v>
      </c>
      <c r="L46" s="5">
        <v>0.264172051</v>
      </c>
      <c r="M46" s="5">
        <f>L46*J46</f>
        <v>0.9999995235759102</v>
      </c>
    </row>
    <row r="48" ht="15.75">
      <c r="J48" s="5" t="s">
        <v>14</v>
      </c>
    </row>
    <row r="50" spans="10:11" ht="17.25">
      <c r="J50" s="15" t="s">
        <v>41</v>
      </c>
      <c r="K50" s="15"/>
    </row>
    <row r="51" spans="10:11" ht="17.25">
      <c r="J51" s="15" t="s">
        <v>15</v>
      </c>
      <c r="K51" s="15"/>
    </row>
  </sheetData>
  <sheetProtection sheet="1" objects="1" scenarios="1"/>
  <mergeCells count="14">
    <mergeCell ref="P24:R24"/>
    <mergeCell ref="K17:L17"/>
    <mergeCell ref="D26:K26"/>
    <mergeCell ref="D24:K24"/>
    <mergeCell ref="K18:L18"/>
    <mergeCell ref="K21:L21"/>
    <mergeCell ref="E2:U2"/>
    <mergeCell ref="D7:J7"/>
    <mergeCell ref="D3:J4"/>
    <mergeCell ref="D16:E16"/>
    <mergeCell ref="K12:L12"/>
    <mergeCell ref="K14:L14"/>
    <mergeCell ref="K8:L8"/>
    <mergeCell ref="K10:L10"/>
  </mergeCell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H50"/>
  <sheetViews>
    <sheetView workbookViewId="0" topLeftCell="A1">
      <selection activeCell="B14" sqref="B14"/>
    </sheetView>
  </sheetViews>
  <sheetFormatPr defaultColWidth="9.140625" defaultRowHeight="12.75"/>
  <cols>
    <col min="1" max="1" width="4.421875" style="0" customWidth="1"/>
    <col min="2" max="2" width="57.00390625" style="0" customWidth="1"/>
    <col min="3" max="3" width="30.7109375" style="64" customWidth="1"/>
    <col min="4" max="4" width="5.140625" style="63" customWidth="1"/>
    <col min="5" max="5" width="2.8515625" style="0" customWidth="1"/>
    <col min="6" max="6" width="11.421875" style="62" customWidth="1"/>
    <col min="7" max="7" width="13.8515625" style="63" customWidth="1"/>
  </cols>
  <sheetData>
    <row r="1" ht="12.75"/>
    <row r="2" spans="3:4" ht="12.75">
      <c r="C2" s="60" t="s">
        <v>42</v>
      </c>
      <c r="D2" s="61">
        <v>2</v>
      </c>
    </row>
    <row r="3" ht="13.5" thickBot="1"/>
    <row r="4" spans="2:7" s="65" customFormat="1" ht="12.75">
      <c r="B4" s="66"/>
      <c r="C4" s="67"/>
      <c r="D4" s="68"/>
      <c r="E4" s="69"/>
      <c r="F4" s="90" t="s">
        <v>43</v>
      </c>
      <c r="G4" s="91"/>
    </row>
    <row r="5" spans="2:7" s="70" customFormat="1" ht="41.25" customHeight="1" thickBot="1">
      <c r="B5" s="71" t="s">
        <v>44</v>
      </c>
      <c r="C5" s="71" t="s">
        <v>45</v>
      </c>
      <c r="D5" s="72" t="s">
        <v>46</v>
      </c>
      <c r="E5" s="73"/>
      <c r="F5" s="74" t="s">
        <v>47</v>
      </c>
      <c r="G5" s="73" t="s">
        <v>48</v>
      </c>
    </row>
    <row r="6" spans="1:7" ht="12.75">
      <c r="A6">
        <v>1</v>
      </c>
      <c r="B6" t="s">
        <v>49</v>
      </c>
      <c r="C6" s="64" t="s">
        <v>50</v>
      </c>
      <c r="D6" s="63">
        <v>5</v>
      </c>
      <c r="F6" s="62">
        <f>D6*7.38</f>
        <v>36.9</v>
      </c>
      <c r="G6" s="75">
        <f>D6*81.3</f>
        <v>406.5</v>
      </c>
    </row>
    <row r="7" ht="12.75">
      <c r="G7" s="75"/>
    </row>
    <row r="8" spans="1:7" ht="12.75">
      <c r="A8">
        <v>2</v>
      </c>
      <c r="B8" t="s">
        <v>51</v>
      </c>
      <c r="C8" s="64" t="s">
        <v>52</v>
      </c>
      <c r="D8" s="63" t="s">
        <v>39</v>
      </c>
      <c r="F8" s="62">
        <f>IF(D8="Y",D2*52*2.65*0.086,0)</f>
        <v>23.701599999999996</v>
      </c>
      <c r="G8" s="75">
        <f>IF(D8="Y",D2*52*2.65*0.948,0)</f>
        <v>261.26879999999994</v>
      </c>
    </row>
    <row r="9" ht="12.75">
      <c r="G9" s="75" t="s">
        <v>16</v>
      </c>
    </row>
    <row r="10" spans="1:7" ht="12.75">
      <c r="A10">
        <v>3</v>
      </c>
      <c r="B10" t="s">
        <v>53</v>
      </c>
      <c r="C10" s="64" t="s">
        <v>52</v>
      </c>
      <c r="D10" s="63" t="s">
        <v>39</v>
      </c>
      <c r="F10" s="62">
        <f>IF(D10="Y",D2*2*(2/15)*52*3.3,0)</f>
        <v>91.52</v>
      </c>
      <c r="G10" s="75">
        <f>IF(D10="Y",D2*2*52*(2/15)*19.3,0)</f>
        <v>535.2533333333333</v>
      </c>
    </row>
    <row r="11" spans="2:7" ht="12.75">
      <c r="B11" t="s">
        <v>54</v>
      </c>
      <c r="G11" s="75"/>
    </row>
    <row r="12" ht="12.75">
      <c r="G12" s="75"/>
    </row>
    <row r="13" spans="1:7" ht="12.75">
      <c r="A13">
        <v>4</v>
      </c>
      <c r="B13" t="s">
        <v>55</v>
      </c>
      <c r="C13" s="64" t="s">
        <v>52</v>
      </c>
      <c r="D13" s="63" t="s">
        <v>39</v>
      </c>
      <c r="F13" s="62">
        <f>IF(D13="Y",(20/20)*52*3.3,0)</f>
        <v>171.6</v>
      </c>
      <c r="G13" s="75">
        <f>IF(D13="Y",52*(20/20)*19.3,0)</f>
        <v>1003.6</v>
      </c>
    </row>
    <row r="14" ht="12.75">
      <c r="B14" t="s">
        <v>56</v>
      </c>
    </row>
    <row r="15" ht="12.75"/>
    <row r="16" spans="1:4" ht="12.75">
      <c r="A16">
        <v>5</v>
      </c>
      <c r="B16" t="s">
        <v>57</v>
      </c>
      <c r="C16" s="64" t="s">
        <v>52</v>
      </c>
      <c r="D16" s="63" t="s">
        <v>39</v>
      </c>
    </row>
    <row r="17" spans="2:7" ht="12.75">
      <c r="B17" s="64" t="s">
        <v>16</v>
      </c>
      <c r="C17" s="64" t="s">
        <v>58</v>
      </c>
      <c r="D17" s="63">
        <v>2</v>
      </c>
      <c r="F17" s="62">
        <f>IF(D16="Y",D17*16*0.09*365*0.086,0)</f>
        <v>90.4032</v>
      </c>
      <c r="G17" s="75">
        <f>IF(D16="Y",D17*16*0.09*365*0.948,0)</f>
        <v>996.5376</v>
      </c>
    </row>
    <row r="18" spans="2:7" ht="12.75">
      <c r="B18" s="64"/>
      <c r="G18" s="75"/>
    </row>
    <row r="19" spans="1:7" ht="12.75">
      <c r="A19">
        <v>6</v>
      </c>
      <c r="B19" t="s">
        <v>59</v>
      </c>
      <c r="C19" s="64" t="s">
        <v>52</v>
      </c>
      <c r="D19" s="63" t="s">
        <v>39</v>
      </c>
      <c r="F19" s="62">
        <f>IF(D19="Y",8*0.15*365*0.086,0)</f>
        <v>37.668</v>
      </c>
      <c r="G19" s="75">
        <f>IF(D19="Y",8*0.15*365*0.948,0)</f>
        <v>415.224</v>
      </c>
    </row>
    <row r="20" ht="12.75">
      <c r="G20" s="75"/>
    </row>
    <row r="21" spans="1:4" ht="12.75">
      <c r="A21">
        <v>7</v>
      </c>
      <c r="B21" t="s">
        <v>60</v>
      </c>
      <c r="C21" s="64" t="s">
        <v>61</v>
      </c>
      <c r="D21" s="63">
        <v>6</v>
      </c>
    </row>
    <row r="22" spans="2:7" ht="12.75">
      <c r="B22" t="s">
        <v>62</v>
      </c>
      <c r="C22" s="64" t="s">
        <v>52</v>
      </c>
      <c r="D22" s="63" t="s">
        <v>39</v>
      </c>
      <c r="F22" s="62">
        <f>IF(D22="Y",D21*0.015*20*365*0.086,0)</f>
        <v>56.50199999999999</v>
      </c>
      <c r="G22" s="75">
        <f>IF(D22="Y",D21*0.015*20*365*0.948,0)</f>
        <v>622.8359999999999</v>
      </c>
    </row>
    <row r="23" ht="12.75"/>
    <row r="24" spans="1:6" ht="12.75">
      <c r="A24">
        <v>8</v>
      </c>
      <c r="B24" t="s">
        <v>63</v>
      </c>
      <c r="C24" s="64" t="s">
        <v>64</v>
      </c>
      <c r="F24" s="76" t="s">
        <v>65</v>
      </c>
    </row>
    <row r="25" spans="2:7" ht="12.75">
      <c r="B25" t="s">
        <v>66</v>
      </c>
      <c r="C25" s="64" t="s">
        <v>52</v>
      </c>
      <c r="D25" s="63" t="s">
        <v>39</v>
      </c>
      <c r="F25" s="62">
        <f>IF(D25="Y",D24*0.015*20*365*0.086,0)</f>
        <v>0</v>
      </c>
      <c r="G25" s="75">
        <f>IF(D25="Y",D24*0.015*20*365*0.948,0)</f>
        <v>0</v>
      </c>
    </row>
    <row r="26" ht="12.75"/>
    <row r="27" spans="3:8" ht="12.75">
      <c r="C27" s="60" t="s">
        <v>67</v>
      </c>
      <c r="D27" s="61"/>
      <c r="E27" s="65"/>
      <c r="F27" s="77">
        <f>SUM(F6:F26)</f>
        <v>508.29479999999995</v>
      </c>
      <c r="G27" s="78">
        <f>SUM(G6:G26)</f>
        <v>4241.219733333333</v>
      </c>
      <c r="H27" s="65" t="s">
        <v>68</v>
      </c>
    </row>
    <row r="28" spans="3:8" ht="12.75">
      <c r="C28" s="60"/>
      <c r="D28" s="61"/>
      <c r="E28" s="65"/>
      <c r="F28" s="77"/>
      <c r="G28" s="79">
        <f>G27/2000</f>
        <v>2.120609866666667</v>
      </c>
      <c r="H28" s="65" t="s">
        <v>22</v>
      </c>
    </row>
    <row r="29" ht="12.75"/>
    <row r="30" ht="12.75">
      <c r="B30" s="65" t="s">
        <v>69</v>
      </c>
    </row>
    <row r="31" ht="12.75">
      <c r="B31" t="s">
        <v>70</v>
      </c>
    </row>
    <row r="32" ht="12.75">
      <c r="B32" s="64" t="s">
        <v>71</v>
      </c>
    </row>
    <row r="33" ht="12.75">
      <c r="B33" s="64" t="s">
        <v>72</v>
      </c>
    </row>
    <row r="34" ht="12.75">
      <c r="B34" s="64" t="s">
        <v>73</v>
      </c>
    </row>
    <row r="35" ht="12.75"/>
    <row r="36" ht="12.75">
      <c r="B36" s="80" t="s">
        <v>74</v>
      </c>
    </row>
    <row r="37" ht="12.75"/>
    <row r="38" ht="12.75">
      <c r="B38" t="s">
        <v>75</v>
      </c>
    </row>
    <row r="39" ht="12.75"/>
    <row r="40" ht="12.75">
      <c r="B40" t="s">
        <v>76</v>
      </c>
    </row>
    <row r="41" ht="12.75"/>
    <row r="42" ht="12.75">
      <c r="B42" t="s">
        <v>77</v>
      </c>
    </row>
    <row r="43" ht="12.75"/>
    <row r="44" ht="12.75">
      <c r="B44" t="s">
        <v>78</v>
      </c>
    </row>
    <row r="46" ht="12.75">
      <c r="B46" t="s">
        <v>79</v>
      </c>
    </row>
    <row r="48" ht="12.75">
      <c r="B48" t="s">
        <v>80</v>
      </c>
    </row>
    <row r="50" ht="12.75">
      <c r="B50" t="s">
        <v>81</v>
      </c>
    </row>
  </sheetData>
  <mergeCells count="1">
    <mergeCell ref="F4:G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Bill</cp:lastModifiedBy>
  <dcterms:created xsi:type="dcterms:W3CDTF">2007-01-20T06:54:28Z</dcterms:created>
  <dcterms:modified xsi:type="dcterms:W3CDTF">2007-11-12T21:11:29Z</dcterms:modified>
  <cp:category/>
  <cp:version/>
  <cp:contentType/>
  <cp:contentStatus/>
</cp:coreProperties>
</file>